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775" activeTab="1"/>
  </bookViews>
  <sheets>
    <sheet name="计算稿" sheetId="1" r:id="rId1"/>
    <sheet name="汇总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<sst xmlns="http://schemas.openxmlformats.org/spreadsheetml/2006/main" count="93" uniqueCount="70">
  <si>
    <t>构件名称</t>
  </si>
  <si>
    <t>长</t>
  </si>
  <si>
    <t>宽</t>
  </si>
  <si>
    <t>高/厚</t>
  </si>
  <si>
    <t>构件数</t>
  </si>
  <si>
    <t>土方开挖（m3）</t>
  </si>
  <si>
    <t>土方回填（m3）</t>
  </si>
  <si>
    <t>表面凿毛（m2）</t>
  </si>
  <si>
    <t>灌浆料（m3）</t>
  </si>
  <si>
    <t>C15混凝土（m3）</t>
  </si>
  <si>
    <t>C35混凝土（m3）</t>
  </si>
  <si>
    <t>模板（m2）</t>
  </si>
  <si>
    <t>植筋8（根）</t>
  </si>
  <si>
    <t>植筋16（根）</t>
  </si>
  <si>
    <t>植筋22（根）</t>
  </si>
  <si>
    <t>植筋25（根）</t>
  </si>
  <si>
    <t>直径8（t）</t>
  </si>
  <si>
    <t>直径16（t）</t>
  </si>
  <si>
    <t>直径20（t）</t>
  </si>
  <si>
    <t>直径22（t）</t>
  </si>
  <si>
    <t>直径25（t）</t>
  </si>
  <si>
    <t>219*6（m）</t>
  </si>
  <si>
    <t>JKZ1</t>
  </si>
  <si>
    <t>JKZ2</t>
  </si>
  <si>
    <t>XZCT1</t>
  </si>
  <si>
    <t>钢管桩</t>
  </si>
  <si>
    <t>JDL1</t>
  </si>
  <si>
    <t>DLA</t>
  </si>
  <si>
    <t>新增钢管桩连接承台</t>
  </si>
  <si>
    <t>合计</t>
  </si>
  <si>
    <t>序号</t>
  </si>
  <si>
    <t>项目名称</t>
  </si>
  <si>
    <t>项目特征描述</t>
  </si>
  <si>
    <t>单位</t>
  </si>
  <si>
    <t>工程量</t>
  </si>
  <si>
    <t>单价（元）</t>
  </si>
  <si>
    <t>合价（元）</t>
  </si>
  <si>
    <t>备注</t>
  </si>
  <si>
    <t>一</t>
  </si>
  <si>
    <t>凿毛</t>
  </si>
  <si>
    <t>旧混凝土表面凿毛</t>
  </si>
  <si>
    <t>m2</t>
  </si>
  <si>
    <t>灌浆料</t>
  </si>
  <si>
    <t>高强灌浆料</t>
  </si>
  <si>
    <t>m3</t>
  </si>
  <si>
    <t>混凝土</t>
  </si>
  <si>
    <t>C15混凝土垫层</t>
  </si>
  <si>
    <t>C35混凝土</t>
  </si>
  <si>
    <t>模板</t>
  </si>
  <si>
    <t>复合木模板</t>
  </si>
  <si>
    <t>植筋</t>
  </si>
  <si>
    <t>直径8</t>
  </si>
  <si>
    <t>根</t>
  </si>
  <si>
    <t>直径16</t>
  </si>
  <si>
    <t>直径22</t>
  </si>
  <si>
    <t>直径25</t>
  </si>
  <si>
    <t>构件钢筋</t>
  </si>
  <si>
    <t>t</t>
  </si>
  <si>
    <t>直径20</t>
  </si>
  <si>
    <t>219*6</t>
  </si>
  <si>
    <t>m</t>
  </si>
  <si>
    <t>二</t>
  </si>
  <si>
    <t>安全文明施工费</t>
  </si>
  <si>
    <t>现场措施费</t>
  </si>
  <si>
    <t>三</t>
  </si>
  <si>
    <t>管理费</t>
  </si>
  <si>
    <t>四</t>
  </si>
  <si>
    <t>税金</t>
  </si>
  <si>
    <t>五</t>
  </si>
  <si>
    <t>合价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</si>
</sst>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workbookViewId="0">
      <pane xSplit="5" ySplit="1" topLeftCell="F2" activePane="bottomRight" state="frozen"/>
      <selection/>
      <selection pane="topRight"/>
      <selection pane="bottomLeft"/>
      <selection pane="bottomRight" activeCell="E6" sqref="E6"/>
    </sheetView>
  </sheetViews>
  <sheetFormatPr defaultColWidth="9" defaultRowHeight="22" customHeight="1"/>
  <cols>
    <col min="1" max="1" width="9" style="1"/>
    <col min="2" max="4" width="5.75" style="1" customWidth="1"/>
    <col min="5" max="7" width="8.08333333333333" style="1" customWidth="1"/>
    <col min="8" max="8" width="9" style="1"/>
    <col min="9" max="9" width="7.41666666666667" style="1" customWidth="1"/>
    <col min="10" max="10" width="10.4166666666667" style="1" customWidth="1"/>
    <col min="11" max="11" width="9.5" style="1" customWidth="1"/>
    <col min="12" max="21" width="7.41666666666667" style="1" customWidth="1"/>
    <col min="22" max="16384" width="9" style="1"/>
  </cols>
  <sheetData>
    <row r="1" s="5" customFormat="1" ht="38" customHeight="1" spans="1:2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</row>
    <row r="2" customHeight="1" spans="1:21">
      <c r="A2" s="1" t="s">
        <v>22</v>
      </c>
      <c r="B2" s="1">
        <v>0.55</v>
      </c>
      <c r="C2" s="1">
        <v>0.55</v>
      </c>
      <c r="D2" s="1">
        <v>9.78</v>
      </c>
      <c r="E2" s="1">
        <v>3</v>
      </c>
      <c r="H2" s="1">
        <f>(B2+C2)*2*D2*E2</f>
        <v>64.548</v>
      </c>
      <c r="I2" s="1">
        <f>((B2+0.16)*(C2+0.16)-B2*C2)*D2*E2</f>
        <v>5.914944</v>
      </c>
      <c r="L2" s="1">
        <f>(B2+0.16)*4*D2*E2</f>
        <v>83.3256</v>
      </c>
      <c r="M2" s="1">
        <f>ROUNDUP(D2/0.4,0)*8*E2</f>
        <v>600</v>
      </c>
      <c r="P2" s="1">
        <f>4*E2</f>
        <v>12</v>
      </c>
      <c r="Q2" s="1">
        <f>M2*2*15*0.008*0.395/1000</f>
        <v>0.05688</v>
      </c>
      <c r="S2" s="1">
        <f>6*D2*2.47/1000*E2+ROUNDUP(D2/0.1,0)*(B2+0.16)*4*E2*2.47/1000</f>
        <v>2.49717</v>
      </c>
      <c r="T2" s="1">
        <f>4*D2*2.98/1000*E2</f>
        <v>0.3497328</v>
      </c>
      <c r="U2" s="1">
        <f>4*(D2+2*35*0.025)*3.85/1000*E2</f>
        <v>0.532686</v>
      </c>
    </row>
    <row r="3" customHeight="1" spans="1:21">
      <c r="A3" s="1" t="s">
        <v>23</v>
      </c>
      <c r="B3" s="1">
        <v>0.5</v>
      </c>
      <c r="C3" s="1">
        <v>0.5</v>
      </c>
      <c r="D3" s="1">
        <f>D2</f>
        <v>9.78</v>
      </c>
      <c r="E3" s="1">
        <v>1</v>
      </c>
      <c r="H3" s="1">
        <f>(B3+C3)*2*D3*E3</f>
        <v>19.56</v>
      </c>
      <c r="I3" s="1">
        <f>((B3+0.16)*(C3+0.16)-B3*C3)*D3*E3</f>
        <v>1.815168</v>
      </c>
      <c r="L3" s="1">
        <f>(B3+0.16)*4*D3*E3</f>
        <v>25.8192</v>
      </c>
      <c r="M3" s="1">
        <f>ROUNDUP(D3/0.4,0)*8*E3</f>
        <v>200</v>
      </c>
      <c r="P3" s="1">
        <f>4*E3</f>
        <v>4</v>
      </c>
      <c r="Q3" s="1">
        <f>M3*2*15*0.008*0.395/1000</f>
        <v>0.01896</v>
      </c>
      <c r="S3" s="1">
        <f>6*D3*2.47/1000*E3+ROUNDUP(D3/0.1,0)*(B3+0.16)*4*E3*2.47/1000</f>
        <v>0.783978</v>
      </c>
      <c r="T3" s="1">
        <f>4*D3*2.98/1000*E3</f>
        <v>0.1165776</v>
      </c>
      <c r="U3" s="1">
        <f>4*(D3+2*35*0.025)*3.85/1000*E3</f>
        <v>0.177562</v>
      </c>
    </row>
    <row r="4" customHeight="1" spans="1:18">
      <c r="A4" s="1" t="s">
        <v>24</v>
      </c>
      <c r="B4" s="1">
        <v>0.7</v>
      </c>
      <c r="C4" s="1">
        <v>0.6</v>
      </c>
      <c r="D4" s="1">
        <v>0.7</v>
      </c>
      <c r="E4" s="1">
        <v>7</v>
      </c>
      <c r="H4" s="1">
        <f>B4*2*D4*E4</f>
        <v>6.86</v>
      </c>
      <c r="J4" s="1">
        <f>0.2*2*B4*0.1*E4</f>
        <v>0.196</v>
      </c>
      <c r="K4" s="1">
        <f>0.2*0.7*0.6*2*E4</f>
        <v>1.176</v>
      </c>
      <c r="L4" s="1">
        <f>((B4+0.4)*2+0.2*2*2)*0.1*E4+(0.2*4+0.6*2)*0.7*E4</f>
        <v>11.9</v>
      </c>
      <c r="M4" s="1">
        <f>ROUNDUP(C4/0.4,0)*4*E4</f>
        <v>56</v>
      </c>
      <c r="Q4" s="1">
        <f>M4*(0.2+2*15*0.008)*0.395/1000</f>
        <v>0.0097328</v>
      </c>
      <c r="R4" s="1">
        <f>ROUNDUP(C4/0.15,0)*(0.2*4+0.7*2+4*10*0.016)*E4*1.58/1000+16*0.6*1.58/1000</f>
        <v>0.1408096</v>
      </c>
    </row>
    <row r="5" customHeight="1" spans="1:22">
      <c r="A5" s="1" t="s">
        <v>25</v>
      </c>
      <c r="B5" s="1">
        <v>16</v>
      </c>
      <c r="E5" s="1">
        <v>20</v>
      </c>
      <c r="V5" s="1">
        <f>B5*E5</f>
        <v>320</v>
      </c>
    </row>
    <row r="6" customHeight="1" spans="1:20">
      <c r="A6" s="1" t="s">
        <v>26</v>
      </c>
      <c r="B6" s="1">
        <v>7.2</v>
      </c>
      <c r="C6" s="1">
        <v>0.3</v>
      </c>
      <c r="D6" s="1">
        <v>0.7</v>
      </c>
      <c r="E6" s="1">
        <v>5</v>
      </c>
      <c r="H6" s="1">
        <f>B6*D6*2*E6</f>
        <v>50.4</v>
      </c>
      <c r="K6" s="1">
        <f>0.1*B6*D6*2*E6</f>
        <v>5.04</v>
      </c>
      <c r="L6" s="1">
        <f>B6*D6*2*E6</f>
        <v>50.4</v>
      </c>
      <c r="N6" s="1">
        <f>4*2*2*E6</f>
        <v>80</v>
      </c>
      <c r="O6" s="1">
        <f>4*2*2*E6</f>
        <v>80</v>
      </c>
      <c r="Q6" s="1">
        <f>ROUNDUP(B6/0.1,0)*(0.1*4+4*10*0.008+0.7*2)*0.395/1000*E6</f>
        <v>0.301464</v>
      </c>
      <c r="R6" s="1">
        <f>4*(B6+5*20*0.016)*1.58/1000*E6</f>
        <v>0.27808</v>
      </c>
      <c r="T6" s="1">
        <f>4*(B6+4*20*0.022)*2.98/1000*E6</f>
        <v>0.534016</v>
      </c>
    </row>
    <row r="7" customHeight="1" spans="1:20">
      <c r="A7" s="1" t="s">
        <v>27</v>
      </c>
      <c r="B7" s="1">
        <v>7.2</v>
      </c>
      <c r="C7" s="1">
        <v>0.5</v>
      </c>
      <c r="D7" s="1">
        <v>0.7</v>
      </c>
      <c r="E7" s="1">
        <v>1</v>
      </c>
      <c r="K7" s="1">
        <f>B7*C7*D7</f>
        <v>2.52</v>
      </c>
      <c r="L7" s="1">
        <f>2*D7*B7*E7</f>
        <v>10.08</v>
      </c>
      <c r="N7" s="1">
        <f>4*2*2</f>
        <v>16</v>
      </c>
      <c r="O7" s="1">
        <f>8*2*2</f>
        <v>32</v>
      </c>
      <c r="Q7" s="1">
        <f>ROUNDUP(B7/0.1,0)*(0.1*4+4*10*0.008+0.7*2)*0.395/1000*E7</f>
        <v>0.0602928</v>
      </c>
      <c r="R7" s="1">
        <f>4*(B7+4*20*0.016)*1.58/1000</f>
        <v>0.0535936</v>
      </c>
      <c r="T7" s="1">
        <f>8*(B7+4*20*0.022)*2.98/1000</f>
        <v>0.2136064</v>
      </c>
    </row>
    <row r="9" customHeight="1" spans="1:18">
      <c r="A9" s="6" t="s">
        <v>28</v>
      </c>
      <c r="E9" s="1">
        <v>20</v>
      </c>
      <c r="H9" s="1">
        <f>1.25*0.6*2*E9</f>
        <v>30</v>
      </c>
      <c r="J9" s="1">
        <f>3.4*3.4*E9*0.1</f>
        <v>23.12</v>
      </c>
      <c r="K9" s="1">
        <f>0.6*0.6*1.25*E5</f>
        <v>9</v>
      </c>
      <c r="L9" s="1">
        <f>3.4*4*0.1*E9</f>
        <v>27.2</v>
      </c>
      <c r="M9" s="1">
        <f>4*2*E9</f>
        <v>160</v>
      </c>
      <c r="N9" s="1">
        <f>2*2*E9</f>
        <v>80</v>
      </c>
      <c r="Q9" s="1">
        <f>2*15*0.007*M9*0.395/1000</f>
        <v>0.013272</v>
      </c>
      <c r="R9" s="1">
        <f>12*0.6*1.58/1000*E9+2*2*(0.6*4+0.125*2+2*15*0.016+2*10*0.016)*1.58/1000*E9</f>
        <v>0.6636</v>
      </c>
    </row>
    <row r="11" customHeight="1" spans="2:22">
      <c r="B11" s="1" t="s">
        <v>29</v>
      </c>
      <c r="F11" s="1">
        <f>SUM(F2:F10)</f>
        <v>0</v>
      </c>
      <c r="G11" s="1">
        <f t="shared" ref="G11:V11" si="0">SUM(G2:G10)</f>
        <v>0</v>
      </c>
      <c r="H11" s="1">
        <f t="shared" si="0"/>
        <v>171.368</v>
      </c>
      <c r="I11" s="1">
        <f t="shared" si="0"/>
        <v>7.730112</v>
      </c>
      <c r="J11" s="1">
        <f t="shared" si="0"/>
        <v>23.316</v>
      </c>
      <c r="K11" s="1">
        <f t="shared" si="0"/>
        <v>17.736</v>
      </c>
      <c r="L11" s="1">
        <f t="shared" si="0"/>
        <v>208.7248</v>
      </c>
      <c r="M11" s="1">
        <f t="shared" si="0"/>
        <v>1016</v>
      </c>
      <c r="N11" s="1">
        <f t="shared" si="0"/>
        <v>176</v>
      </c>
      <c r="O11" s="1">
        <f t="shared" si="0"/>
        <v>112</v>
      </c>
      <c r="P11" s="1">
        <f t="shared" si="0"/>
        <v>16</v>
      </c>
      <c r="Q11" s="1">
        <f t="shared" si="0"/>
        <v>0.4606016</v>
      </c>
      <c r="R11" s="1">
        <f t="shared" si="0"/>
        <v>1.1360832</v>
      </c>
      <c r="S11" s="1">
        <f t="shared" si="0"/>
        <v>3.281148</v>
      </c>
      <c r="T11" s="1">
        <f t="shared" si="0"/>
        <v>1.2139328</v>
      </c>
      <c r="U11" s="1">
        <f t="shared" si="0"/>
        <v>0.710248</v>
      </c>
      <c r="V11" s="1">
        <f t="shared" si="0"/>
        <v>320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Zeros="0" tabSelected="1" workbookViewId="0">
      <selection activeCell="D10" sqref="D10:E13"/>
    </sheetView>
  </sheetViews>
  <sheetFormatPr defaultColWidth="8.66666666666667" defaultRowHeight="19" customHeight="1" outlineLevelCol="7"/>
  <cols>
    <col min="1" max="1" width="8.66666666666667" style="1"/>
    <col min="2" max="2" width="14" style="1" customWidth="1"/>
    <col min="3" max="3" width="19.0833333333333" style="1" customWidth="1"/>
    <col min="4" max="4" width="13.3333333333333" style="1" customWidth="1"/>
    <col min="5" max="7" width="13.3333333333333" style="2" customWidth="1"/>
    <col min="8" max="8" width="13.3333333333333" style="1" customWidth="1"/>
    <col min="9" max="16384" width="8.66666666666667" style="1"/>
  </cols>
  <sheetData>
    <row r="1" customHeight="1" spans="1:8">
      <c r="A1" s="3" t="s">
        <v>30</v>
      </c>
      <c r="B1" s="3" t="s">
        <v>31</v>
      </c>
      <c r="C1" s="3" t="s">
        <v>32</v>
      </c>
      <c r="D1" s="3" t="s">
        <v>33</v>
      </c>
      <c r="E1" s="4" t="s">
        <v>34</v>
      </c>
      <c r="F1" s="4" t="s">
        <v>35</v>
      </c>
      <c r="G1" s="4" t="s">
        <v>36</v>
      </c>
      <c r="H1" s="3" t="s">
        <v>37</v>
      </c>
    </row>
    <row r="2" customHeight="1" spans="1:8">
      <c r="A2" s="3" t="s">
        <v>38</v>
      </c>
      <c r="B2" s="3"/>
      <c r="C2" s="3"/>
      <c r="D2" s="3"/>
      <c r="E2" s="4"/>
      <c r="F2" s="4"/>
      <c r="G2" s="4">
        <f>SUM(G3:G17)</f>
        <v>210403.29</v>
      </c>
      <c r="H2" s="3"/>
    </row>
    <row r="3" customHeight="1" spans="1:8">
      <c r="A3" s="3">
        <v>1</v>
      </c>
      <c r="B3" s="3" t="s">
        <v>39</v>
      </c>
      <c r="C3" s="3" t="s">
        <v>40</v>
      </c>
      <c r="D3" s="3" t="s">
        <v>41</v>
      </c>
      <c r="E3" s="4">
        <v>77.26</v>
      </c>
      <c r="F3" s="4">
        <v>80</v>
      </c>
      <c r="G3" s="4">
        <f t="shared" ref="G3:G16" si="0">ROUND(F3*E3,2)</f>
        <v>6180.8</v>
      </c>
      <c r="H3" s="3"/>
    </row>
    <row r="4" customHeight="1" spans="1:8">
      <c r="A4" s="3">
        <v>2</v>
      </c>
      <c r="B4" s="3" t="s">
        <v>42</v>
      </c>
      <c r="C4" s="3" t="s">
        <v>43</v>
      </c>
      <c r="D4" s="3" t="s">
        <v>44</v>
      </c>
      <c r="E4" s="4">
        <f>计算稿!I11</f>
        <v>7.730112</v>
      </c>
      <c r="F4" s="4">
        <v>5000</v>
      </c>
      <c r="G4" s="4">
        <f t="shared" si="0"/>
        <v>38650.56</v>
      </c>
      <c r="H4" s="3"/>
    </row>
    <row r="5" customHeight="1" spans="1:8">
      <c r="A5" s="3">
        <v>3</v>
      </c>
      <c r="B5" s="3" t="s">
        <v>45</v>
      </c>
      <c r="C5" s="3" t="s">
        <v>46</v>
      </c>
      <c r="D5" s="3" t="s">
        <v>44</v>
      </c>
      <c r="E5" s="4">
        <v>7.82</v>
      </c>
      <c r="F5" s="4">
        <v>750</v>
      </c>
      <c r="G5" s="4">
        <f t="shared" si="0"/>
        <v>5865</v>
      </c>
      <c r="H5" s="3"/>
    </row>
    <row r="6" customHeight="1" spans="1:8">
      <c r="A6" s="3">
        <v>4</v>
      </c>
      <c r="B6" s="3" t="s">
        <v>45</v>
      </c>
      <c r="C6" s="3" t="s">
        <v>47</v>
      </c>
      <c r="D6" s="3" t="s">
        <v>44</v>
      </c>
      <c r="E6" s="4">
        <v>6.82</v>
      </c>
      <c r="F6" s="4">
        <f>F5</f>
        <v>750</v>
      </c>
      <c r="G6" s="4">
        <f t="shared" si="0"/>
        <v>5115</v>
      </c>
      <c r="H6" s="3"/>
    </row>
    <row r="7" customHeight="1" spans="1:8">
      <c r="A7" s="3">
        <v>5</v>
      </c>
      <c r="B7" s="3" t="s">
        <v>48</v>
      </c>
      <c r="C7" s="3" t="s">
        <v>49</v>
      </c>
      <c r="D7" s="3" t="s">
        <v>41</v>
      </c>
      <c r="E7" s="4">
        <v>88.25</v>
      </c>
      <c r="F7" s="4">
        <v>190</v>
      </c>
      <c r="G7" s="4">
        <f t="shared" si="0"/>
        <v>16767.5</v>
      </c>
      <c r="H7" s="3"/>
    </row>
    <row r="8" customHeight="1" spans="1:8">
      <c r="A8" s="3">
        <v>6</v>
      </c>
      <c r="B8" s="3" t="s">
        <v>50</v>
      </c>
      <c r="C8" s="3" t="s">
        <v>51</v>
      </c>
      <c r="D8" s="3" t="s">
        <v>52</v>
      </c>
      <c r="E8" s="4">
        <v>350.36</v>
      </c>
      <c r="F8" s="4">
        <v>13</v>
      </c>
      <c r="G8" s="4">
        <f t="shared" si="0"/>
        <v>4554.68</v>
      </c>
      <c r="H8" s="3"/>
    </row>
    <row r="9" customHeight="1" spans="1:8">
      <c r="A9" s="3">
        <v>7</v>
      </c>
      <c r="B9" s="3" t="s">
        <v>50</v>
      </c>
      <c r="C9" s="3" t="s">
        <v>53</v>
      </c>
      <c r="D9" s="3" t="s">
        <v>52</v>
      </c>
      <c r="E9" s="4">
        <v>56.89</v>
      </c>
      <c r="F9" s="4">
        <v>35</v>
      </c>
      <c r="G9" s="4">
        <f t="shared" si="0"/>
        <v>1991.15</v>
      </c>
      <c r="H9" s="3"/>
    </row>
    <row r="10" customHeight="1" spans="1:8">
      <c r="A10" s="3">
        <v>8</v>
      </c>
      <c r="B10" s="3" t="s">
        <v>50</v>
      </c>
      <c r="C10" s="3" t="s">
        <v>54</v>
      </c>
      <c r="D10" s="3" t="s">
        <v>52</v>
      </c>
      <c r="E10" s="4">
        <v>42.06</v>
      </c>
      <c r="F10" s="4">
        <v>60</v>
      </c>
      <c r="G10" s="4">
        <f t="shared" si="0"/>
        <v>2523.6</v>
      </c>
      <c r="H10" s="3"/>
    </row>
    <row r="11" customHeight="1" spans="1:8">
      <c r="A11" s="3">
        <v>9</v>
      </c>
      <c r="B11" s="3" t="s">
        <v>50</v>
      </c>
      <c r="C11" s="3" t="s">
        <v>55</v>
      </c>
      <c r="D11" s="3" t="s">
        <v>52</v>
      </c>
      <c r="E11" s="4">
        <f>计算稿!P11</f>
        <v>16</v>
      </c>
      <c r="F11" s="4">
        <v>80</v>
      </c>
      <c r="G11" s="4">
        <f t="shared" si="0"/>
        <v>1280</v>
      </c>
      <c r="H11" s="3"/>
    </row>
    <row r="12" customHeight="1" spans="1:8">
      <c r="A12" s="3">
        <v>10</v>
      </c>
      <c r="B12" s="3" t="s">
        <v>56</v>
      </c>
      <c r="C12" s="3" t="s">
        <v>51</v>
      </c>
      <c r="D12" s="3" t="s">
        <v>57</v>
      </c>
      <c r="E12" s="4">
        <v>0.36</v>
      </c>
      <c r="F12" s="4">
        <v>7500</v>
      </c>
      <c r="G12" s="4">
        <f t="shared" si="0"/>
        <v>2700</v>
      </c>
      <c r="H12" s="3"/>
    </row>
    <row r="13" customHeight="1" spans="1:8">
      <c r="A13" s="3">
        <v>11</v>
      </c>
      <c r="B13" s="3" t="s">
        <v>56</v>
      </c>
      <c r="C13" s="3" t="s">
        <v>53</v>
      </c>
      <c r="D13" s="3" t="s">
        <v>57</v>
      </c>
      <c r="E13" s="4">
        <v>0.57</v>
      </c>
      <c r="F13" s="4">
        <f>F12</f>
        <v>7500</v>
      </c>
      <c r="G13" s="4">
        <f t="shared" si="0"/>
        <v>4275</v>
      </c>
      <c r="H13" s="3"/>
    </row>
    <row r="14" customHeight="1" spans="1:8">
      <c r="A14" s="3">
        <v>12</v>
      </c>
      <c r="B14" s="3" t="s">
        <v>56</v>
      </c>
      <c r="C14" s="3" t="s">
        <v>58</v>
      </c>
      <c r="D14" s="3" t="s">
        <v>57</v>
      </c>
      <c r="E14" s="4">
        <v>1.28</v>
      </c>
      <c r="F14" s="4">
        <f>F13</f>
        <v>7500</v>
      </c>
      <c r="G14" s="4">
        <f t="shared" si="0"/>
        <v>9600</v>
      </c>
      <c r="H14" s="3"/>
    </row>
    <row r="15" customHeight="1" spans="1:8">
      <c r="A15" s="3">
        <v>13</v>
      </c>
      <c r="B15" s="3" t="s">
        <v>56</v>
      </c>
      <c r="C15" s="3" t="s">
        <v>54</v>
      </c>
      <c r="D15" s="3" t="s">
        <v>57</v>
      </c>
      <c r="E15" s="4">
        <v>0.54</v>
      </c>
      <c r="F15" s="4">
        <f>F14</f>
        <v>7500</v>
      </c>
      <c r="G15" s="4">
        <f t="shared" si="0"/>
        <v>4050</v>
      </c>
      <c r="H15" s="3"/>
    </row>
    <row r="16" customHeight="1" spans="1:8">
      <c r="A16" s="3">
        <v>14</v>
      </c>
      <c r="B16" s="3" t="s">
        <v>56</v>
      </c>
      <c r="C16" s="3" t="s">
        <v>55</v>
      </c>
      <c r="D16" s="3" t="s">
        <v>57</v>
      </c>
      <c r="E16" s="4">
        <v>0.38</v>
      </c>
      <c r="F16" s="4">
        <f>F15</f>
        <v>7500</v>
      </c>
      <c r="G16" s="4">
        <f t="shared" si="0"/>
        <v>2850</v>
      </c>
      <c r="H16" s="3"/>
    </row>
    <row r="17" customHeight="1" spans="1:8">
      <c r="A17" s="3">
        <v>15</v>
      </c>
      <c r="B17" s="3" t="s">
        <v>25</v>
      </c>
      <c r="C17" s="3" t="s">
        <v>59</v>
      </c>
      <c r="D17" s="3" t="s">
        <v>60</v>
      </c>
      <c r="E17" s="4">
        <v>208</v>
      </c>
      <c r="F17" s="4">
        <v>500</v>
      </c>
      <c r="G17" s="4">
        <f t="shared" ref="G17:G38" si="1">ROUND(F17*E17,2)</f>
        <v>104000</v>
      </c>
      <c r="H17" s="3"/>
    </row>
    <row r="18" customHeight="1" spans="1:8">
      <c r="A18" s="3" t="s">
        <v>61</v>
      </c>
      <c r="B18" s="3"/>
      <c r="C18" s="3"/>
      <c r="D18" s="3"/>
      <c r="E18" s="4"/>
      <c r="F18" s="4"/>
      <c r="G18" s="4">
        <f>SUM(G19:G20)</f>
        <v>40000</v>
      </c>
      <c r="H18" s="3"/>
    </row>
    <row r="19" customHeight="1" spans="1:8">
      <c r="A19" s="3">
        <v>1</v>
      </c>
      <c r="B19" s="3" t="s">
        <v>62</v>
      </c>
      <c r="C19" s="3"/>
      <c r="D19" s="3"/>
      <c r="E19" s="4"/>
      <c r="F19" s="4"/>
      <c r="G19" s="4">
        <v>10000</v>
      </c>
      <c r="H19" s="3"/>
    </row>
    <row r="20" customHeight="1" spans="1:8">
      <c r="A20" s="3">
        <v>2</v>
      </c>
      <c r="B20" s="3" t="s">
        <v>63</v>
      </c>
      <c r="C20" s="3"/>
      <c r="D20" s="3"/>
      <c r="E20" s="4"/>
      <c r="F20" s="4"/>
      <c r="G20" s="4">
        <v>30000</v>
      </c>
      <c r="H20" s="3"/>
    </row>
    <row r="21" customHeight="1" spans="1:8">
      <c r="A21" s="3" t="s">
        <v>64</v>
      </c>
      <c r="B21" s="3" t="s">
        <v>65</v>
      </c>
      <c r="C21" s="3"/>
      <c r="D21" s="3"/>
      <c r="E21" s="4">
        <v>0.1</v>
      </c>
      <c r="F21" s="4">
        <f>SUM(G2,G18)</f>
        <v>250403.29</v>
      </c>
      <c r="G21" s="4">
        <f t="shared" si="1"/>
        <v>25040.33</v>
      </c>
      <c r="H21" s="3"/>
    </row>
    <row r="22" customHeight="1" spans="1:8">
      <c r="A22" s="3" t="s">
        <v>66</v>
      </c>
      <c r="B22" s="3" t="s">
        <v>67</v>
      </c>
      <c r="C22" s="3"/>
      <c r="D22" s="3"/>
      <c r="E22" s="4">
        <v>0.09</v>
      </c>
      <c r="F22" s="4">
        <f>SUM(G2,G18,G21)</f>
        <v>275443.62</v>
      </c>
      <c r="G22" s="4">
        <f t="shared" si="1"/>
        <v>24789.93</v>
      </c>
      <c r="H22" s="3"/>
    </row>
    <row r="23" customHeight="1" spans="1:8">
      <c r="A23" s="3" t="s">
        <v>68</v>
      </c>
      <c r="B23" s="3" t="s">
        <v>69</v>
      </c>
      <c r="C23" s="3"/>
      <c r="D23" s="3"/>
      <c r="E23" s="4"/>
      <c r="F23" s="4"/>
      <c r="G23" s="4">
        <f>SUM(G2,G19,G21,G22)</f>
        <v>270233.55</v>
      </c>
      <c r="H23" s="3"/>
    </row>
    <row r="24" customHeight="1" spans="7:7">
      <c r="G24" s="2">
        <f t="shared" si="1"/>
        <v>0</v>
      </c>
    </row>
    <row r="25" customHeight="1" spans="7:7">
      <c r="G25" s="2">
        <f t="shared" si="1"/>
        <v>0</v>
      </c>
    </row>
    <row r="26" customHeight="1" spans="7:7">
      <c r="G26" s="2">
        <f t="shared" si="1"/>
        <v>0</v>
      </c>
    </row>
    <row r="27" customHeight="1" spans="7:7">
      <c r="G27" s="2">
        <f t="shared" si="1"/>
        <v>0</v>
      </c>
    </row>
    <row r="28" customHeight="1" spans="7:7">
      <c r="G28" s="2">
        <f t="shared" si="1"/>
        <v>0</v>
      </c>
    </row>
    <row r="29" customHeight="1" spans="7:7">
      <c r="G29" s="2">
        <f t="shared" si="1"/>
        <v>0</v>
      </c>
    </row>
    <row r="30" customHeight="1" spans="7:7">
      <c r="G30" s="2">
        <f t="shared" si="1"/>
        <v>0</v>
      </c>
    </row>
    <row r="31" customHeight="1" spans="7:7">
      <c r="G31" s="2">
        <f t="shared" si="1"/>
        <v>0</v>
      </c>
    </row>
    <row r="32" customHeight="1" spans="7:7">
      <c r="G32" s="2">
        <f t="shared" si="1"/>
        <v>0</v>
      </c>
    </row>
    <row r="33" customHeight="1" spans="7:7">
      <c r="G33" s="2">
        <f t="shared" si="1"/>
        <v>0</v>
      </c>
    </row>
    <row r="34" customHeight="1" spans="7:7">
      <c r="G34" s="2">
        <f t="shared" si="1"/>
        <v>0</v>
      </c>
    </row>
    <row r="35" customHeight="1" spans="7:7">
      <c r="G35" s="2">
        <f t="shared" si="1"/>
        <v>0</v>
      </c>
    </row>
    <row r="36" customHeight="1" spans="7:7">
      <c r="G36" s="2">
        <f t="shared" si="1"/>
        <v>0</v>
      </c>
    </row>
    <row r="37" customHeight="1" spans="7:7">
      <c r="G37" s="2">
        <f t="shared" si="1"/>
        <v>0</v>
      </c>
    </row>
    <row r="38" customHeight="1" spans="7:7">
      <c r="G38" s="2">
        <f t="shared" si="1"/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计算稿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 L</dc:creator>
  <cp:lastModifiedBy>Miss’leo 【狮子小姐】</cp:lastModifiedBy>
  <dcterms:created xsi:type="dcterms:W3CDTF">2015-06-05T18:17:00Z</dcterms:created>
  <dcterms:modified xsi:type="dcterms:W3CDTF">2023-12-24T11:34:06Z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73EF934D7E4C4998882E9F1475DA3586</vt:lpwstr>
  </property>
  <property fmtid="{D5CDD505-2E9C-101B-9397-08002B2CF9AE}" pid="4" name="KSOProductBuildVer">
    <vt:lpwstr>2052-12.1.0.16120</vt:lpwstr>
  </property>
</Properties>
</file>